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Dossier_PAPI_Complet\Dossier_candidature\Campagnes_diagnostics_et_travaux\Sollicitation_Financeurs\Grand_Cognac\"/>
    </mc:Choice>
  </mc:AlternateContent>
  <bookViews>
    <workbookView xWindow="0" yWindow="0" windowWidth="23040" windowHeight="8616"/>
  </bookViews>
  <sheets>
    <sheet name="Grand_Cogna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P14" i="2" l="1"/>
  <c r="P12" i="2"/>
  <c r="P8" i="2"/>
  <c r="P6" i="2"/>
  <c r="R15" i="2"/>
  <c r="R7" i="2"/>
  <c r="L16" i="2"/>
  <c r="L14" i="2"/>
  <c r="H16" i="2" l="1"/>
  <c r="O8" i="2"/>
  <c r="O9" i="2" s="1"/>
  <c r="N8" i="2"/>
  <c r="N9" i="2" s="1"/>
  <c r="M8" i="2"/>
  <c r="M9" i="2" s="1"/>
  <c r="L8" i="2"/>
  <c r="L9" i="2" s="1"/>
  <c r="K8" i="2"/>
  <c r="K9" i="2" s="1"/>
  <c r="O6" i="2"/>
  <c r="O7" i="2" s="1"/>
  <c r="N6" i="2"/>
  <c r="N7" i="2" s="1"/>
  <c r="M6" i="2"/>
  <c r="M7" i="2" s="1"/>
  <c r="L6" i="2"/>
  <c r="L7" i="2" s="1"/>
  <c r="K6" i="2"/>
  <c r="K7" i="2" s="1"/>
  <c r="M17" i="2"/>
  <c r="N16" i="2"/>
  <c r="N17" i="2" s="1"/>
  <c r="M15" i="2"/>
  <c r="N14" i="2"/>
  <c r="N15" i="2" s="1"/>
  <c r="M13" i="2"/>
  <c r="N12" i="2"/>
  <c r="L12" i="2"/>
  <c r="L13" i="2" s="1"/>
  <c r="G8" i="2"/>
  <c r="F8" i="2"/>
  <c r="E8" i="2"/>
  <c r="D8" i="2"/>
  <c r="D9" i="2" s="1"/>
  <c r="C8" i="2"/>
  <c r="D16" i="2" l="1"/>
  <c r="D22" i="2" s="1"/>
  <c r="O14" i="2"/>
  <c r="O15" i="2" s="1"/>
  <c r="O12" i="2"/>
  <c r="O13" i="2" s="1"/>
  <c r="F9" i="2"/>
  <c r="G9" i="2"/>
  <c r="E9" i="2"/>
  <c r="C9" i="2"/>
  <c r="H22" i="2"/>
  <c r="O16" i="2"/>
  <c r="O17" i="2" s="1"/>
  <c r="L17" i="2"/>
  <c r="L15" i="2"/>
  <c r="N13" i="2"/>
  <c r="F16" i="2" s="1"/>
  <c r="D15" i="2" l="1"/>
  <c r="E22" i="2"/>
  <c r="E21" i="2" s="1"/>
  <c r="G16" i="2"/>
  <c r="G22" i="2" s="1"/>
  <c r="G21" i="2" s="1"/>
  <c r="F22" i="2"/>
  <c r="F21" i="2" s="1"/>
  <c r="D21" i="2"/>
  <c r="C16" i="2"/>
  <c r="C22" i="2" s="1"/>
  <c r="C21" i="2" s="1"/>
  <c r="F15" i="2"/>
  <c r="G15" i="2" l="1"/>
  <c r="C15" i="2"/>
</calcChain>
</file>

<file path=xl/sharedStrings.xml><?xml version="1.0" encoding="utf-8"?>
<sst xmlns="http://schemas.openxmlformats.org/spreadsheetml/2006/main" count="65" uniqueCount="31">
  <si>
    <t>EPCI :</t>
  </si>
  <si>
    <t>DIAGNOSTICS DE VULNERABILITE</t>
  </si>
  <si>
    <t>Financement</t>
  </si>
  <si>
    <t>Fonds Barnier</t>
  </si>
  <si>
    <t>Département</t>
  </si>
  <si>
    <t>EPTB Charente</t>
  </si>
  <si>
    <t>Restant à charge propriétaire</t>
  </si>
  <si>
    <t>TOTAL</t>
  </si>
  <si>
    <t>TRAVAUX</t>
  </si>
  <si>
    <t>Habitations</t>
  </si>
  <si>
    <t>Activités</t>
  </si>
  <si>
    <t>Bâtiments publics</t>
  </si>
  <si>
    <t>Montant</t>
  </si>
  <si>
    <t>Financement travaux par type d'enjeu</t>
  </si>
  <si>
    <t>CA de Grand Cognac</t>
  </si>
  <si>
    <t>Grand Cognac</t>
  </si>
  <si>
    <t>Restant à charge</t>
  </si>
  <si>
    <t>Financement diag par type d'enjeu</t>
  </si>
  <si>
    <t>Case à remplir à la discrétion de l'EPCI</t>
  </si>
  <si>
    <t>EPTB Charente*</t>
  </si>
  <si>
    <t>Maitrise d'ouvrage :</t>
  </si>
  <si>
    <t>Taux de participation</t>
  </si>
  <si>
    <t>TOTAL GRAND COGNAC</t>
  </si>
  <si>
    <r>
      <t xml:space="preserve">Pour le financement EPCI des travaux de réduction de la vulnérabilité, plusieurs critères peuvent être décidés à postériori de la décision du taux de participation qui sera contractualisé dans la convention du PAPI. Ces critères permettent notamment de jouer sur l'enveloppe financière à mobiliser, notamment dans l'hypothèse ou les demandes de travaux seraient supérieures à 10 % (moyenne observée à l'échelle nationale) :
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social (abattement à définir)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en fonction de la priorisation des travaux (abattement d'environ 50%)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Autres critères à décider par l'EPCI
</t>
    </r>
  </si>
  <si>
    <t>Nombre total estimé de DIAGNOSTICS¹</t>
  </si>
  <si>
    <t>Nombre total estimé de passages aux TRAVAUX²</t>
  </si>
  <si>
    <r>
      <t>Département</t>
    </r>
    <r>
      <rPr>
        <sz val="11"/>
        <color theme="1"/>
        <rFont val="Calibri"/>
        <family val="2"/>
      </rPr>
      <t>³</t>
    </r>
  </si>
  <si>
    <r>
      <rPr>
        <sz val="10"/>
        <color theme="1"/>
        <rFont val="Calibri"/>
        <family val="2"/>
        <scheme val="minor"/>
      </rPr>
      <t xml:space="preserve">¹ </t>
    </r>
    <r>
      <rPr>
        <sz val="8"/>
        <color theme="1"/>
        <rFont val="Calibri"/>
        <family val="2"/>
        <scheme val="minor"/>
      </rPr>
      <t>la moyenne nationale est de 20%, il est toutefois proposé de retenir 30% au regard de retours d'expériences locaux</t>
    </r>
  </si>
  <si>
    <r>
      <rPr>
        <sz val="10"/>
        <color theme="1"/>
        <rFont val="Calibri"/>
        <family val="2"/>
        <scheme val="minor"/>
      </rPr>
      <t>³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 Département de la Charente intervient à hauteur de l'EPCI dans le financement des travaux</t>
    </r>
  </si>
  <si>
    <t>*La participation de l'EPTB Charente intègre l'accompagnement des particuliers dans le suivi de la phase travaux
**Le montant global inclut la campagne de communication à prévoir dans le cadre des diagnostics</t>
  </si>
  <si>
    <r>
      <rPr>
        <sz val="10"/>
        <color theme="1"/>
        <rFont val="Calibri"/>
        <family val="2"/>
        <scheme val="minor"/>
      </rPr>
      <t>²</t>
    </r>
    <r>
      <rPr>
        <sz val="8"/>
        <color theme="1"/>
        <rFont val="Calibri"/>
        <family val="2"/>
        <scheme val="minor"/>
      </rPr>
      <t xml:space="preserve"> la moyenne nationale est de 10%, il est toutefois proposé de retenir 15% au regard de retours d'expériences locaux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</si>
</sst>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1" fillId="6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10" fillId="0" borderId="0" xfId="0" applyNumberFormat="1" applyFont="1" applyAlignment="1" applyProtection="1">
      <alignment horizontal="center" vertical="center"/>
      <protection hidden="1"/>
    </xf>
    <xf numFmtId="9" fontId="0" fillId="4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13</xdr:row>
      <xdr:rowOff>99060</xdr:rowOff>
    </xdr:from>
    <xdr:to>
      <xdr:col>8</xdr:col>
      <xdr:colOff>670560</xdr:colOff>
      <xdr:row>14</xdr:row>
      <xdr:rowOff>106680</xdr:rowOff>
    </xdr:to>
    <xdr:sp macro="" textlink="">
      <xdr:nvSpPr>
        <xdr:cNvPr id="2" name="Flèche droite 1"/>
        <xdr:cNvSpPr/>
      </xdr:nvSpPr>
      <xdr:spPr>
        <a:xfrm>
          <a:off x="7071360" y="3985260"/>
          <a:ext cx="495300" cy="373380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162197</xdr:colOff>
      <xdr:row>6</xdr:row>
      <xdr:rowOff>186146</xdr:rowOff>
    </xdr:from>
    <xdr:to>
      <xdr:col>8</xdr:col>
      <xdr:colOff>657497</xdr:colOff>
      <xdr:row>7</xdr:row>
      <xdr:rowOff>193765</xdr:rowOff>
    </xdr:to>
    <xdr:sp macro="" textlink="">
      <xdr:nvSpPr>
        <xdr:cNvPr id="3" name="Flèche droite 2"/>
        <xdr:cNvSpPr/>
      </xdr:nvSpPr>
      <xdr:spPr>
        <a:xfrm>
          <a:off x="7074626" y="1884317"/>
          <a:ext cx="495300" cy="377734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R18" sqref="R18"/>
    </sheetView>
  </sheetViews>
  <sheetFormatPr baseColWidth="10" defaultRowHeight="14.4" x14ac:dyDescent="0.3"/>
  <cols>
    <col min="1" max="1" width="16.33203125" customWidth="1"/>
    <col min="2" max="2" width="10.77734375" customWidth="1"/>
    <col min="7" max="7" width="15.6640625" customWidth="1"/>
    <col min="10" max="10" width="17.21875" customWidth="1"/>
    <col min="14" max="14" width="12.5546875" customWidth="1"/>
    <col min="17" max="17" width="6.109375" customWidth="1"/>
    <col min="20" max="20" width="40.6640625" customWidth="1"/>
  </cols>
  <sheetData>
    <row r="1" spans="1:20" ht="21.6" customHeight="1" x14ac:dyDescent="0.3">
      <c r="A1" s="17" t="s">
        <v>0</v>
      </c>
      <c r="B1" s="57" t="s">
        <v>14</v>
      </c>
      <c r="C1" s="57"/>
      <c r="D1" s="57"/>
      <c r="E1" s="35"/>
      <c r="F1" s="35"/>
      <c r="G1" s="35"/>
      <c r="H1" s="35"/>
    </row>
    <row r="2" spans="1:20" x14ac:dyDescent="0.3">
      <c r="A2" s="1"/>
      <c r="B2" s="1"/>
      <c r="C2" s="1"/>
      <c r="D2" s="1"/>
      <c r="E2" s="1"/>
      <c r="F2" s="1"/>
      <c r="G2" s="1"/>
      <c r="H2" s="1"/>
    </row>
    <row r="3" spans="1:20" ht="25.2" customHeight="1" x14ac:dyDescent="0.3">
      <c r="A3" s="58" t="s">
        <v>18</v>
      </c>
      <c r="B3" s="59"/>
      <c r="C3" s="60"/>
      <c r="D3" s="1"/>
      <c r="E3" s="1"/>
      <c r="F3" s="1"/>
      <c r="G3" s="1"/>
      <c r="H3" s="1"/>
      <c r="R3" s="2"/>
      <c r="S3" s="2"/>
    </row>
    <row r="4" spans="1:20" x14ac:dyDescent="0.3">
      <c r="A4" s="1"/>
      <c r="B4" s="1"/>
      <c r="C4" s="1"/>
      <c r="D4" s="1"/>
      <c r="E4" s="1"/>
      <c r="F4" s="1"/>
      <c r="G4" s="1"/>
      <c r="H4" s="1"/>
      <c r="J4" s="37"/>
      <c r="K4" s="37"/>
      <c r="L4" s="37"/>
      <c r="M4" s="37"/>
      <c r="N4" s="37"/>
      <c r="O4" s="37"/>
      <c r="P4" s="38"/>
      <c r="R4" s="2"/>
      <c r="S4" s="2"/>
    </row>
    <row r="5" spans="1:20" ht="28.8" customHeight="1" x14ac:dyDescent="0.3">
      <c r="A5" s="61" t="s">
        <v>1</v>
      </c>
      <c r="B5" s="61"/>
      <c r="C5" s="61"/>
      <c r="D5" s="61"/>
      <c r="E5" s="61"/>
      <c r="F5" s="61"/>
      <c r="G5" s="61"/>
      <c r="H5" s="61"/>
      <c r="J5" s="30" t="s">
        <v>17</v>
      </c>
      <c r="K5" s="30" t="s">
        <v>3</v>
      </c>
      <c r="L5" s="30" t="s">
        <v>5</v>
      </c>
      <c r="M5" s="30" t="s">
        <v>15</v>
      </c>
      <c r="N5" s="40" t="s">
        <v>4</v>
      </c>
      <c r="O5" s="30" t="s">
        <v>16</v>
      </c>
      <c r="P5" s="5" t="s">
        <v>7</v>
      </c>
      <c r="R5" s="31"/>
      <c r="S5" s="33"/>
    </row>
    <row r="6" spans="1:20" ht="28.8" customHeight="1" x14ac:dyDescent="0.3">
      <c r="A6" s="62" t="s">
        <v>20</v>
      </c>
      <c r="B6" s="63"/>
      <c r="C6" s="47" t="s">
        <v>2</v>
      </c>
      <c r="D6" s="47"/>
      <c r="E6" s="47"/>
      <c r="F6" s="47"/>
      <c r="G6" s="47"/>
      <c r="H6" s="47"/>
      <c r="J6" s="51" t="s">
        <v>9</v>
      </c>
      <c r="K6" s="22">
        <f>IF($A$8="EPTB Charente",0.5,IF($A$8="EPCI",0.5,IF($A$8="Syndicat de bassin versant",0.5,IF($A$8="Autre",0.5,IF($A$8="","")))))</f>
        <v>0.5</v>
      </c>
      <c r="L6" s="22">
        <f>IF($A$8="EPTB Charente",0.06,IF($A$8="EPCI",0,IF($A$8="Syndicat de bassin versant",0,IF($A$8="Autre",0,IF($A$8="","")))))</f>
        <v>0.06</v>
      </c>
      <c r="M6" s="22">
        <f>IF($A$8="EPTB Charente",0.24,IF($A$8="EPCI",0.3,IF($A$8="Syndicat de bassin versant",0.3,IF($A$8="Autre",0.3,IF($A$8="","")))))</f>
        <v>0.24</v>
      </c>
      <c r="N6" s="22">
        <f>IF($A$8="EPTB Charente",0.2,IF($A$8="EPCI",0.2,IF($A$8="Syndicat de bassin versant",0.2,IF($A$8="Autre",0.2,IF($A$8="","")))))</f>
        <v>0.2</v>
      </c>
      <c r="O6" s="22">
        <f>IF($A$8="EPTB Charente",0,IF($A$8="EPCI",0,IF($A$8="Syndicat de bassin versant",0,IF($A$8="Autre",0,IF($A$8="","")))))</f>
        <v>0</v>
      </c>
      <c r="P6" s="53">
        <f>906600*$S$7</f>
        <v>271980</v>
      </c>
      <c r="R6" s="45" t="s">
        <v>24</v>
      </c>
      <c r="S6" s="46"/>
    </row>
    <row r="7" spans="1:20" ht="28.8" customHeight="1" x14ac:dyDescent="0.3">
      <c r="A7" s="64"/>
      <c r="B7" s="65"/>
      <c r="C7" s="4" t="s">
        <v>3</v>
      </c>
      <c r="D7" s="30" t="s">
        <v>19</v>
      </c>
      <c r="E7" s="4" t="s">
        <v>15</v>
      </c>
      <c r="F7" s="4" t="s">
        <v>4</v>
      </c>
      <c r="G7" s="4" t="s">
        <v>6</v>
      </c>
      <c r="H7" s="5" t="s">
        <v>7</v>
      </c>
      <c r="J7" s="52"/>
      <c r="K7" s="28">
        <f>IF($A$8="","",$P$6*K6)</f>
        <v>135990</v>
      </c>
      <c r="L7" s="28">
        <f>IF($A$8="","",$P$6*L6)</f>
        <v>16318.8</v>
      </c>
      <c r="M7" s="28">
        <f>IF($A$8="","",$P$6*M6)</f>
        <v>65275.199999999997</v>
      </c>
      <c r="N7" s="28">
        <f>IF($A$8="","",$P$6*N6)</f>
        <v>54396</v>
      </c>
      <c r="O7" s="28">
        <f>IF($A$8="","",$P$6*O6)</f>
        <v>0</v>
      </c>
      <c r="P7" s="54"/>
      <c r="R7" s="34">
        <f>IF(S7="","",1738*S7)</f>
        <v>521.4</v>
      </c>
      <c r="S7" s="44">
        <v>0.3</v>
      </c>
      <c r="T7" s="41" t="s">
        <v>27</v>
      </c>
    </row>
    <row r="8" spans="1:20" ht="28.8" customHeight="1" x14ac:dyDescent="0.3">
      <c r="A8" s="55" t="s">
        <v>5</v>
      </c>
      <c r="B8" s="6" t="s">
        <v>21</v>
      </c>
      <c r="C8" s="22">
        <f>IF($A$8="EPTB Charente",0.5,IF($A$8="EPCI",0.5,IF($A$8="Syndicat de bassin versant",0.5,IF($A$8="Autre",0.5,IF($A$8="","")))))</f>
        <v>0.5</v>
      </c>
      <c r="D8" s="22">
        <f>IF($A$8="EPTB Charente",0.06,IF($A$8="EPCI",0,IF($A$8="Syndicat de bassin versant",0,IF($A$8="Autre",0,IF($A$8="","")))))</f>
        <v>0.06</v>
      </c>
      <c r="E8" s="22">
        <f>IF($A$8="EPTB Charente",0.24,IF($A$8="EPCI",0.3,IF($A$8="Syndicat de bassin versant",0.3,IF($A$8="Autre",0.3,IF($A$8="","")))))</f>
        <v>0.24</v>
      </c>
      <c r="F8" s="22">
        <f>IF($A$8="EPTB Charente",0.2,IF($A$8="EPCI",0.2,IF($A$8="Syndicat de bassin versant",0.2,IF($A$8="Autre",0.2,IF($A$8="","")))))</f>
        <v>0.2</v>
      </c>
      <c r="G8" s="22">
        <f>IF($A$8="EPTB Charente",0,IF($A$8="EPCI",0,IF($A$8="Syndicat de bassin versant",0,IF($A$8="Autre",0,IF($A$8="","")))))</f>
        <v>0</v>
      </c>
      <c r="H8" s="13">
        <v>1</v>
      </c>
      <c r="J8" s="51" t="s">
        <v>10</v>
      </c>
      <c r="K8" s="22">
        <f>IF($A$8="EPTB Charente",0.5,IF($A$8="EPCI",0.5,IF($A$8="Syndicat de bassin versant",0.5,IF($A$8="Autre",0.5,IF($A$8="","")))))</f>
        <v>0.5</v>
      </c>
      <c r="L8" s="22">
        <f>IF($A$8="EPTB Charente",0.06,IF($A$8="EPCI",0,IF($A$8="Syndicat de bassin versant",0,IF($A$8="Autre",0,IF($A$8="","")))))</f>
        <v>0.06</v>
      </c>
      <c r="M8" s="22">
        <f>IF($A$8="EPTB Charente",0.24,IF($A$8="EPCI",0.3,IF($A$8="Syndicat de bassin versant",0.3,IF($A$8="Autre",0.3,IF($A$8="","")))))</f>
        <v>0.24</v>
      </c>
      <c r="N8" s="22">
        <f>IF($A$8="EPTB Charente",0.2,IF($A$8="EPCI",0.2,IF($A$8="Syndicat de bassin versant",0.2,IF($A$8="Autre",0.2,IF($A$8="","")))))</f>
        <v>0.2</v>
      </c>
      <c r="O8" s="22">
        <f>IF($A$8="EPTB Charente",0,IF($A$8="EPCI",0,IF($A$8="Syndicat de bassin versant",0,IF($A$8="Autre",0,IF($A$8="","")))))</f>
        <v>0</v>
      </c>
      <c r="P8" s="53">
        <f>227000*$S$7</f>
        <v>68100</v>
      </c>
      <c r="R8" s="31"/>
      <c r="S8" s="31"/>
    </row>
    <row r="9" spans="1:20" ht="28.8" customHeight="1" x14ac:dyDescent="0.3">
      <c r="A9" s="56"/>
      <c r="B9" s="11" t="s">
        <v>12</v>
      </c>
      <c r="C9" s="3">
        <f>IF($A$8="","",$H$9*C8)</f>
        <v>185077</v>
      </c>
      <c r="D9" s="3">
        <f t="shared" ref="D9:G9" si="0">IF($A$8="","",$H$9*D8)</f>
        <v>22209.239999999998</v>
      </c>
      <c r="E9" s="3">
        <f t="shared" si="0"/>
        <v>88836.959999999992</v>
      </c>
      <c r="F9" s="3">
        <f t="shared" si="0"/>
        <v>74030.8</v>
      </c>
      <c r="G9" s="3">
        <f t="shared" si="0"/>
        <v>0</v>
      </c>
      <c r="H9" s="24">
        <f>SUM(P6:P10)</f>
        <v>370154</v>
      </c>
      <c r="J9" s="52"/>
      <c r="K9" s="28">
        <f>IF($A$8="","",$P$8*K8)</f>
        <v>34050</v>
      </c>
      <c r="L9" s="28">
        <f>IF($A$8="","",$P$8*L8)</f>
        <v>4086</v>
      </c>
      <c r="M9" s="28">
        <f>IF($A$8="","",$P$8*M8)</f>
        <v>16344</v>
      </c>
      <c r="N9" s="28">
        <f>IF($A$8="","",$P$8*N8)</f>
        <v>13620</v>
      </c>
      <c r="O9" s="28">
        <f>IF($A$8="","",$P$8*O8)</f>
        <v>0</v>
      </c>
      <c r="P9" s="54"/>
      <c r="R9" s="31"/>
      <c r="S9" s="32"/>
    </row>
    <row r="10" spans="1:20" ht="28.8" customHeight="1" x14ac:dyDescent="0.3">
      <c r="A10" s="49" t="s">
        <v>29</v>
      </c>
      <c r="B10" s="50"/>
      <c r="C10" s="50"/>
      <c r="D10" s="50"/>
      <c r="E10" s="50"/>
      <c r="F10" s="50"/>
      <c r="G10" s="50"/>
      <c r="H10" s="50"/>
      <c r="P10" s="43">
        <v>30074</v>
      </c>
      <c r="R10" s="31"/>
      <c r="S10" s="32"/>
    </row>
    <row r="11" spans="1:20" ht="28.8" customHeight="1" x14ac:dyDescent="0.3">
      <c r="A11" s="36"/>
      <c r="B11" s="36"/>
      <c r="C11" s="36"/>
      <c r="D11" s="36"/>
      <c r="E11" s="36"/>
      <c r="F11" s="36"/>
      <c r="G11" s="36"/>
      <c r="H11" s="36"/>
      <c r="J11" s="47" t="s">
        <v>13</v>
      </c>
      <c r="K11" s="47"/>
      <c r="L11" s="4" t="s">
        <v>3</v>
      </c>
      <c r="M11" s="4" t="s">
        <v>15</v>
      </c>
      <c r="N11" s="40" t="s">
        <v>26</v>
      </c>
      <c r="O11" s="4" t="s">
        <v>6</v>
      </c>
      <c r="P11" s="5" t="s">
        <v>7</v>
      </c>
      <c r="R11" s="31"/>
      <c r="S11" s="31"/>
    </row>
    <row r="12" spans="1:20" s="2" customFormat="1" ht="28.8" customHeight="1" x14ac:dyDescent="0.3">
      <c r="A12" s="66" t="s">
        <v>8</v>
      </c>
      <c r="B12" s="66"/>
      <c r="C12" s="66"/>
      <c r="D12" s="66"/>
      <c r="E12" s="66"/>
      <c r="F12" s="66"/>
      <c r="G12" s="66"/>
      <c r="H12" s="66"/>
      <c r="J12" s="67" t="s">
        <v>9</v>
      </c>
      <c r="K12" s="6" t="s">
        <v>21</v>
      </c>
      <c r="L12" s="14" t="str">
        <f>IF($M$12="","","80%")</f>
        <v>80%</v>
      </c>
      <c r="M12" s="29">
        <v>0.1</v>
      </c>
      <c r="N12" s="12">
        <f>IF($M$12="","",M12)</f>
        <v>0.1</v>
      </c>
      <c r="O12" s="12">
        <f>IF($M$12="","",1-L12-M12-N12)</f>
        <v>-5.5511151231257827E-17</v>
      </c>
      <c r="P12" s="48">
        <f>5041000*S15</f>
        <v>756150</v>
      </c>
      <c r="R12" s="31"/>
      <c r="S12" s="31"/>
    </row>
    <row r="13" spans="1:20" ht="28.8" customHeight="1" x14ac:dyDescent="0.3">
      <c r="A13" s="15"/>
      <c r="B13" s="9"/>
      <c r="C13" s="47" t="s">
        <v>2</v>
      </c>
      <c r="D13" s="47"/>
      <c r="E13" s="47"/>
      <c r="F13" s="47"/>
      <c r="G13" s="47"/>
      <c r="H13" s="47"/>
      <c r="J13" s="68"/>
      <c r="K13" s="11" t="s">
        <v>12</v>
      </c>
      <c r="L13" s="3">
        <f>IF($M$12="","",$P$12*L12)</f>
        <v>604920</v>
      </c>
      <c r="M13" s="3">
        <f t="shared" ref="M13:O13" si="1">IF($M$12="","",$P$12*M12)</f>
        <v>75615</v>
      </c>
      <c r="N13" s="3">
        <f t="shared" si="1"/>
        <v>75615</v>
      </c>
      <c r="O13" s="3">
        <f t="shared" si="1"/>
        <v>-4.1974757003515606E-11</v>
      </c>
      <c r="P13" s="48"/>
    </row>
    <row r="14" spans="1:20" ht="28.8" customHeight="1" x14ac:dyDescent="0.3">
      <c r="A14" s="16"/>
      <c r="B14" s="10"/>
      <c r="C14" s="4" t="s">
        <v>3</v>
      </c>
      <c r="D14" s="45" t="s">
        <v>15</v>
      </c>
      <c r="E14" s="46"/>
      <c r="F14" s="4" t="s">
        <v>4</v>
      </c>
      <c r="G14" s="4" t="s">
        <v>6</v>
      </c>
      <c r="H14" s="5" t="s">
        <v>7</v>
      </c>
      <c r="J14" s="67" t="s">
        <v>10</v>
      </c>
      <c r="K14" s="6" t="s">
        <v>21</v>
      </c>
      <c r="L14" s="14" t="str">
        <f>IF($M$14="","","40%")</f>
        <v>40%</v>
      </c>
      <c r="M14" s="29">
        <v>0.3</v>
      </c>
      <c r="N14" s="12">
        <f>IF($M$14="","",M14)</f>
        <v>0.3</v>
      </c>
      <c r="O14" s="12">
        <f>IF($M$14="","",1-L14-M14-N14)</f>
        <v>0</v>
      </c>
      <c r="P14" s="48">
        <f>1362000*S15</f>
        <v>204300</v>
      </c>
      <c r="R14" s="47" t="s">
        <v>25</v>
      </c>
      <c r="S14" s="47"/>
    </row>
    <row r="15" spans="1:20" ht="28.8" customHeight="1" x14ac:dyDescent="0.3">
      <c r="A15" s="71" t="s">
        <v>21</v>
      </c>
      <c r="B15" s="72"/>
      <c r="C15" s="22">
        <f>IF(C16="","",C16/H16)</f>
        <v>0.70529613605848129</v>
      </c>
      <c r="D15" s="73">
        <f>IF(D16="","",D16/H16)</f>
        <v>0.14735193197075935</v>
      </c>
      <c r="E15" s="74"/>
      <c r="F15" s="22">
        <f>IF(F16="","",F16/H16)</f>
        <v>0.14735193197075935</v>
      </c>
      <c r="G15" s="22">
        <f>IF(G16="","",G16/H16)</f>
        <v>-4.174723457508141E-17</v>
      </c>
      <c r="H15" s="13">
        <v>1</v>
      </c>
      <c r="J15" s="68"/>
      <c r="K15" s="11" t="s">
        <v>12</v>
      </c>
      <c r="L15" s="3">
        <f>IF($M$14="","",$P$14*L14)</f>
        <v>81720</v>
      </c>
      <c r="M15" s="3">
        <f t="shared" ref="M15:O15" si="2">IF($M$14="","",$P$14*M14)</f>
        <v>61290</v>
      </c>
      <c r="N15" s="3">
        <f t="shared" si="2"/>
        <v>61290</v>
      </c>
      <c r="O15" s="3">
        <f t="shared" si="2"/>
        <v>0</v>
      </c>
      <c r="P15" s="48"/>
      <c r="R15" s="34">
        <f>IF(S15="","",1749*S7*S15)</f>
        <v>78.704999999999984</v>
      </c>
      <c r="S15" s="39">
        <v>0.15</v>
      </c>
      <c r="T15" s="41" t="s">
        <v>30</v>
      </c>
    </row>
    <row r="16" spans="1:20" ht="28.8" customHeight="1" x14ac:dyDescent="0.3">
      <c r="A16" s="75" t="s">
        <v>12</v>
      </c>
      <c r="B16" s="76"/>
      <c r="C16" s="25">
        <f>IF(L17="","",L13+L15+L17)</f>
        <v>709140</v>
      </c>
      <c r="D16" s="77">
        <f>IF(M17="","",M13+M15+M17)</f>
        <v>148155</v>
      </c>
      <c r="E16" s="78"/>
      <c r="F16" s="25">
        <f>IF(N17="","",N13+N15+N17)</f>
        <v>148155</v>
      </c>
      <c r="G16" s="25">
        <f>IF(O17="","",O13+O15+O17)</f>
        <v>-4.1974757003515606E-11</v>
      </c>
      <c r="H16" s="24">
        <f>SUM(P12:P17)</f>
        <v>1005450</v>
      </c>
      <c r="J16" s="67" t="s">
        <v>11</v>
      </c>
      <c r="K16" s="6" t="s">
        <v>21</v>
      </c>
      <c r="L16" s="14" t="str">
        <f>IF($M$16="","","50%")</f>
        <v>50%</v>
      </c>
      <c r="M16" s="29">
        <v>0.25</v>
      </c>
      <c r="N16" s="12">
        <f>IF($M$16="","",M16)</f>
        <v>0.25</v>
      </c>
      <c r="O16" s="12">
        <f>IF($M$16="","",1-L16-M16-N16)</f>
        <v>0</v>
      </c>
      <c r="P16" s="48">
        <v>45000</v>
      </c>
    </row>
    <row r="17" spans="1:20" ht="28.8" customHeight="1" thickBot="1" x14ac:dyDescent="0.35">
      <c r="J17" s="68"/>
      <c r="K17" s="11" t="s">
        <v>12</v>
      </c>
      <c r="L17" s="3">
        <f>IF($M$16="","",$P$16*L16)</f>
        <v>22500</v>
      </c>
      <c r="M17" s="3">
        <f t="shared" ref="M17:O17" si="3">IF($M$16="","",$P$16*M16)</f>
        <v>11250</v>
      </c>
      <c r="N17" s="3">
        <f t="shared" si="3"/>
        <v>11250</v>
      </c>
      <c r="O17" s="3">
        <f t="shared" si="3"/>
        <v>0</v>
      </c>
      <c r="P17" s="48"/>
      <c r="T17" s="42" t="s">
        <v>28</v>
      </c>
    </row>
    <row r="18" spans="1:20" ht="28.8" customHeight="1" thickBot="1" x14ac:dyDescent="0.35">
      <c r="A18" s="79" t="s">
        <v>22</v>
      </c>
      <c r="B18" s="80"/>
      <c r="C18" s="80"/>
      <c r="D18" s="80"/>
      <c r="E18" s="80"/>
      <c r="F18" s="80"/>
      <c r="G18" s="80"/>
      <c r="H18" s="81"/>
    </row>
    <row r="19" spans="1:20" ht="28.8" customHeight="1" x14ac:dyDescent="0.3">
      <c r="A19" s="18"/>
      <c r="B19" s="9"/>
      <c r="C19" s="47" t="s">
        <v>2</v>
      </c>
      <c r="D19" s="82"/>
      <c r="E19" s="82"/>
      <c r="F19" s="47"/>
      <c r="G19" s="47"/>
      <c r="H19" s="83"/>
      <c r="J19" s="85" t="s">
        <v>23</v>
      </c>
      <c r="K19" s="86"/>
      <c r="L19" s="86"/>
      <c r="M19" s="86"/>
      <c r="N19" s="86"/>
      <c r="O19" s="86"/>
      <c r="P19" s="87"/>
    </row>
    <row r="20" spans="1:20" ht="28.8" customHeight="1" x14ac:dyDescent="0.3">
      <c r="A20" s="19"/>
      <c r="B20" s="10"/>
      <c r="C20" s="7" t="s">
        <v>3</v>
      </c>
      <c r="D20" s="4" t="s">
        <v>5</v>
      </c>
      <c r="E20" s="4" t="s">
        <v>15</v>
      </c>
      <c r="F20" s="8" t="s">
        <v>4</v>
      </c>
      <c r="G20" s="4" t="s">
        <v>6</v>
      </c>
      <c r="H20" s="20" t="s">
        <v>7</v>
      </c>
      <c r="J20" s="88"/>
      <c r="K20" s="89"/>
      <c r="L20" s="89"/>
      <c r="M20" s="89"/>
      <c r="N20" s="89"/>
      <c r="O20" s="89"/>
      <c r="P20" s="90"/>
    </row>
    <row r="21" spans="1:20" ht="28.8" customHeight="1" x14ac:dyDescent="0.3">
      <c r="A21" s="84" t="s">
        <v>21</v>
      </c>
      <c r="B21" s="72"/>
      <c r="C21" s="27">
        <f>IF(C22="","",C22/$H$22)</f>
        <v>0.65005408533269748</v>
      </c>
      <c r="D21" s="27">
        <f t="shared" ref="D21:G21" si="4">IF(D22="","",D22/$H$22)</f>
        <v>1.6145082451054227E-2</v>
      </c>
      <c r="E21" s="27">
        <f t="shared" si="4"/>
        <v>0.17228211025847553</v>
      </c>
      <c r="F21" s="27">
        <f t="shared" si="4"/>
        <v>0.16151872195777273</v>
      </c>
      <c r="G21" s="27">
        <f t="shared" si="4"/>
        <v>-3.0513692169778224E-17</v>
      </c>
      <c r="H21" s="23">
        <v>1</v>
      </c>
      <c r="J21" s="88"/>
      <c r="K21" s="89"/>
      <c r="L21" s="89"/>
      <c r="M21" s="89"/>
      <c r="N21" s="89"/>
      <c r="O21" s="89"/>
      <c r="P21" s="90"/>
    </row>
    <row r="22" spans="1:20" ht="28.8" customHeight="1" thickBot="1" x14ac:dyDescent="0.35">
      <c r="A22" s="69" t="s">
        <v>12</v>
      </c>
      <c r="B22" s="70"/>
      <c r="C22" s="26">
        <f>IF(C16="","",C9+C16)</f>
        <v>894217</v>
      </c>
      <c r="D22" s="26">
        <f>IF(D16="","",D9)</f>
        <v>22209.239999999998</v>
      </c>
      <c r="E22" s="26">
        <f>IF(D16="","",E9+D16)</f>
        <v>236991.96</v>
      </c>
      <c r="F22" s="26">
        <f t="shared" ref="F22:G22" si="5">IF(F16="","",F9+F16)</f>
        <v>222185.8</v>
      </c>
      <c r="G22" s="26">
        <f t="shared" si="5"/>
        <v>-4.1974757003515606E-11</v>
      </c>
      <c r="H22" s="21">
        <f>H9+H16</f>
        <v>1375604</v>
      </c>
      <c r="J22" s="88"/>
      <c r="K22" s="89"/>
      <c r="L22" s="89"/>
      <c r="M22" s="89"/>
      <c r="N22" s="89"/>
      <c r="O22" s="89"/>
      <c r="P22" s="90"/>
    </row>
    <row r="23" spans="1:20" ht="37.200000000000003" customHeight="1" thickBot="1" x14ac:dyDescent="0.35">
      <c r="J23" s="91"/>
      <c r="K23" s="92"/>
      <c r="L23" s="92"/>
      <c r="M23" s="92"/>
      <c r="N23" s="92"/>
      <c r="O23" s="92"/>
      <c r="P23" s="93"/>
    </row>
  </sheetData>
  <sheetProtection sheet="1" objects="1" scenarios="1"/>
  <mergeCells count="32">
    <mergeCell ref="J11:K11"/>
    <mergeCell ref="A12:H12"/>
    <mergeCell ref="J12:J13"/>
    <mergeCell ref="C13:H13"/>
    <mergeCell ref="A22:B22"/>
    <mergeCell ref="D14:E14"/>
    <mergeCell ref="J14:J15"/>
    <mergeCell ref="A15:B15"/>
    <mergeCell ref="D15:E15"/>
    <mergeCell ref="A16:B16"/>
    <mergeCell ref="D16:E16"/>
    <mergeCell ref="J16:J17"/>
    <mergeCell ref="A18:H18"/>
    <mergeCell ref="C19:H19"/>
    <mergeCell ref="A21:B21"/>
    <mergeCell ref="J19:P23"/>
    <mergeCell ref="B1:D1"/>
    <mergeCell ref="A3:C3"/>
    <mergeCell ref="A5:H5"/>
    <mergeCell ref="A6:B7"/>
    <mergeCell ref="C6:H6"/>
    <mergeCell ref="A10:H10"/>
    <mergeCell ref="J6:J7"/>
    <mergeCell ref="J8:J9"/>
    <mergeCell ref="P6:P7"/>
    <mergeCell ref="P8:P9"/>
    <mergeCell ref="A8:A9"/>
    <mergeCell ref="R6:S6"/>
    <mergeCell ref="R14:S14"/>
    <mergeCell ref="P14:P15"/>
    <mergeCell ref="P16:P17"/>
    <mergeCell ref="P12:P13"/>
  </mergeCells>
  <dataValidations count="6">
    <dataValidation type="list" allowBlank="1" showInputMessage="1" showErrorMessage="1" sqref="M16">
      <formula1>"0%,5%,10%,20%,25%"</formula1>
    </dataValidation>
    <dataValidation type="list" allowBlank="1" showInputMessage="1" showErrorMessage="1" sqref="M14">
      <formula1>"0%,5%,10%,20%,30%"</formula1>
    </dataValidation>
    <dataValidation type="list" allowBlank="1" showInputMessage="1" showErrorMessage="1" sqref="M12">
      <formula1>"0%,5%,10%"</formula1>
    </dataValidation>
    <dataValidation type="list" allowBlank="1" showInputMessage="1" showErrorMessage="1" sqref="A8">
      <formula1>"EPTB Charente, EPCI, Syndicat de bassin versant, Autre"</formula1>
    </dataValidation>
    <dataValidation type="list" allowBlank="1" showInputMessage="1" showErrorMessage="1" sqref="S15">
      <formula1>"5%,10%,15%,20%,25%,30%"</formula1>
    </dataValidation>
    <dataValidation type="list" allowBlank="1" showInputMessage="1" showErrorMessage="1" sqref="S7">
      <formula1>"10%,20%,30%,40%,50%"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Grand_Cognac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2023-05-12T13:51:30Z</dcterms:created>
  <dcterms:modified xsi:type="dcterms:W3CDTF">2023-06-15T12:30:54Z</dcterms:modified>
</cp:coreProperties>
</file>