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nondations\G_PAPI3_CHARENTE\Dossier_PAPI_Complet\Dossier_candidature\Campagnes_diagnostics_et_travaux\Sollicitation_Financeurs\CA_Saintes\"/>
    </mc:Choice>
  </mc:AlternateContent>
  <bookViews>
    <workbookView xWindow="0" yWindow="0" windowWidth="23040" windowHeight="8616"/>
  </bookViews>
  <sheets>
    <sheet name="CA_Saint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P14" i="3" l="1"/>
  <c r="P12" i="3"/>
  <c r="P8" i="3"/>
  <c r="P6" i="3"/>
  <c r="R15" i="3"/>
  <c r="R7" i="3"/>
  <c r="L16" i="3"/>
  <c r="L14" i="3"/>
  <c r="H16" i="3" l="1"/>
  <c r="H22" i="3" s="1"/>
  <c r="O8" i="3"/>
  <c r="O9" i="3" s="1"/>
  <c r="N8" i="3"/>
  <c r="N9" i="3" s="1"/>
  <c r="M8" i="3"/>
  <c r="M9" i="3" s="1"/>
  <c r="L8" i="3"/>
  <c r="L9" i="3" s="1"/>
  <c r="K8" i="3"/>
  <c r="K9" i="3" s="1"/>
  <c r="O6" i="3"/>
  <c r="O7" i="3" s="1"/>
  <c r="N6" i="3"/>
  <c r="N7" i="3" s="1"/>
  <c r="M6" i="3"/>
  <c r="M7" i="3" s="1"/>
  <c r="L6" i="3"/>
  <c r="L7" i="3" s="1"/>
  <c r="K6" i="3"/>
  <c r="K7" i="3" s="1"/>
  <c r="M17" i="3"/>
  <c r="L17" i="3"/>
  <c r="N16" i="3"/>
  <c r="N17" i="3" s="1"/>
  <c r="M15" i="3"/>
  <c r="L15" i="3"/>
  <c r="N14" i="3"/>
  <c r="O14" i="3" s="1"/>
  <c r="O15" i="3" s="1"/>
  <c r="M13" i="3"/>
  <c r="N12" i="3"/>
  <c r="N13" i="3" s="1"/>
  <c r="L12" i="3"/>
  <c r="O12" i="3" s="1"/>
  <c r="O13" i="3" s="1"/>
  <c r="G8" i="3"/>
  <c r="G9" i="3" s="1"/>
  <c r="F8" i="3"/>
  <c r="F9" i="3" s="1"/>
  <c r="E8" i="3"/>
  <c r="E9" i="3" s="1"/>
  <c r="D8" i="3"/>
  <c r="D9" i="3" s="1"/>
  <c r="C8" i="3"/>
  <c r="C9" i="3" s="1"/>
  <c r="D16" i="3" l="1"/>
  <c r="E22" i="3" s="1"/>
  <c r="E21" i="3" s="1"/>
  <c r="L13" i="3"/>
  <c r="C16" i="3" s="1"/>
  <c r="O16" i="3"/>
  <c r="O17" i="3" s="1"/>
  <c r="G16" i="3" s="1"/>
  <c r="G22" i="3" s="1"/>
  <c r="G21" i="3" s="1"/>
  <c r="N15" i="3"/>
  <c r="F16" i="3" s="1"/>
  <c r="D22" i="3" l="1"/>
  <c r="D21" i="3" s="1"/>
  <c r="F22" i="3"/>
  <c r="F21" i="3" s="1"/>
  <c r="F15" i="3"/>
  <c r="C15" i="3"/>
  <c r="C22" i="3"/>
  <c r="C21" i="3" s="1"/>
  <c r="D15" i="3"/>
  <c r="G15" i="3"/>
</calcChain>
</file>

<file path=xl/sharedStrings.xml><?xml version="1.0" encoding="utf-8"?>
<sst xmlns="http://schemas.openxmlformats.org/spreadsheetml/2006/main" count="65" uniqueCount="30">
  <si>
    <t>EPCI :</t>
  </si>
  <si>
    <t>DIAGNOSTICS DE VULNERABILITE</t>
  </si>
  <si>
    <t>Financement</t>
  </si>
  <si>
    <t>Fonds Barnier</t>
  </si>
  <si>
    <t>Département</t>
  </si>
  <si>
    <t>EPTB Charente</t>
  </si>
  <si>
    <t>Restant à charge propriétaire</t>
  </si>
  <si>
    <t>TOTAL</t>
  </si>
  <si>
    <t>TRAVAUX</t>
  </si>
  <si>
    <t>Habitations</t>
  </si>
  <si>
    <t>Activités</t>
  </si>
  <si>
    <t>Bâtiments publics</t>
  </si>
  <si>
    <t>Montant</t>
  </si>
  <si>
    <t>Financement travaux par type d'enjeu</t>
  </si>
  <si>
    <t>CA de Saintes</t>
  </si>
  <si>
    <t>Restant à charge</t>
  </si>
  <si>
    <t>Financement diag par type d'enjeu</t>
  </si>
  <si>
    <t>TOTAL CA DE SAINTES</t>
  </si>
  <si>
    <t>Case à remplir à la discrétion de l'EPCI</t>
  </si>
  <si>
    <t>EPTB Charente*</t>
  </si>
  <si>
    <t>Maitrise d'ouvrage :</t>
  </si>
  <si>
    <t>Taux de participation</t>
  </si>
  <si>
    <r>
      <t xml:space="preserve">Pour le financement EPCI des travaux de réduction de la vulnérabilité, plusieurs critères peuvent être décidés à postériori de la décision du taux de participation qui sera contractualisé dans la convention du PAPI. Ces critères permettent notamment de jouer sur l'enveloppe financière à mobiliser, notamment dans l'hypothèse ou les demandes de travaux seraient supérieures à 10 % (moyenne observée à l'échelle nationale) :
</t>
    </r>
    <r>
      <rPr>
        <u/>
        <sz val="11"/>
        <color theme="1"/>
        <rFont val="Calibri"/>
        <family val="2"/>
        <scheme val="minor"/>
      </rPr>
      <t>EXEMPLE :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Wingdings"/>
        <charset val="2"/>
      </rPr>
      <t>ü</t>
    </r>
    <r>
      <rPr>
        <sz val="11"/>
        <color theme="1"/>
        <rFont val="Calibri"/>
        <family val="2"/>
        <scheme val="minor"/>
      </rPr>
      <t xml:space="preserve"> Critère d'attribution social (abattement à définir)
</t>
    </r>
    <r>
      <rPr>
        <sz val="11"/>
        <color theme="1"/>
        <rFont val="Wingdings"/>
        <charset val="2"/>
      </rPr>
      <t>ü</t>
    </r>
    <r>
      <rPr>
        <sz val="11"/>
        <color theme="1"/>
        <rFont val="Calibri"/>
        <family val="2"/>
        <scheme val="minor"/>
      </rPr>
      <t xml:space="preserve"> Critère d'attribution en fonction de la priorisation des travaux (abattement d'environ 50%)
</t>
    </r>
    <r>
      <rPr>
        <sz val="11"/>
        <color theme="1"/>
        <rFont val="Wingdings"/>
        <charset val="2"/>
      </rPr>
      <t>ü</t>
    </r>
    <r>
      <rPr>
        <sz val="11"/>
        <color theme="1"/>
        <rFont val="Calibri"/>
        <family val="2"/>
        <scheme val="minor"/>
      </rPr>
      <t xml:space="preserve"> Autres critères à décider par l'EPCI
</t>
    </r>
  </si>
  <si>
    <t>Nombre total estimé de DIAGNOSTICS¹</t>
  </si>
  <si>
    <t>Nombre total estimé de passages aux TRAVAUX²</t>
  </si>
  <si>
    <r>
      <t>Département</t>
    </r>
    <r>
      <rPr>
        <sz val="11"/>
        <color theme="1"/>
        <rFont val="Calibri"/>
        <family val="2"/>
      </rPr>
      <t>³</t>
    </r>
  </si>
  <si>
    <r>
      <rPr>
        <sz val="10"/>
        <color theme="1"/>
        <rFont val="Calibri"/>
        <family val="2"/>
        <scheme val="minor"/>
      </rPr>
      <t xml:space="preserve">¹ </t>
    </r>
    <r>
      <rPr>
        <sz val="8"/>
        <color theme="1"/>
        <rFont val="Calibri"/>
        <family val="2"/>
        <scheme val="minor"/>
      </rPr>
      <t>la moyenne nationale est de 20%, il est toutefois proposé de retenir 30% au regard de retours d'expériences locaux</t>
    </r>
  </si>
  <si>
    <r>
      <rPr>
        <sz val="10"/>
        <color theme="1"/>
        <rFont val="Calibri"/>
        <family val="2"/>
        <scheme val="minor"/>
      </rPr>
      <t>³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Le Département de la Charente-Maritime intervient à hauteur de l'EPCI dans le financement des travaux</t>
    </r>
  </si>
  <si>
    <t>*La participation de l'EPTB Charente intègre l'accompagnement des particuliers dans le suivi de la phase travaux
**Le montant global inclut la campagne de communication à prévoir dans le cadre des diagnostics</t>
  </si>
  <si>
    <r>
      <rPr>
        <sz val="10"/>
        <color theme="1"/>
        <rFont val="Calibri"/>
        <family val="2"/>
        <scheme val="minor"/>
      </rPr>
      <t>²</t>
    </r>
    <r>
      <rPr>
        <sz val="8"/>
        <color theme="1"/>
        <rFont val="Calibri"/>
        <family val="2"/>
        <scheme val="minor"/>
      </rPr>
      <t xml:space="preserve"> la moyenne nationale est de 10%, il est toutefois proposé de retenir 15% au regard de retours d'expériences locaux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</si>
</sst>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Wingdings"/>
      <charset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1" fillId="6" borderId="15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9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64" fontId="11" fillId="0" borderId="0" xfId="0" applyNumberFormat="1" applyFont="1" applyAlignment="1" applyProtection="1">
      <alignment horizontal="center" vertical="center"/>
      <protection hidden="1"/>
    </xf>
    <xf numFmtId="9" fontId="0" fillId="4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/>
    </xf>
    <xf numFmtId="164" fontId="1" fillId="8" borderId="6" xfId="0" applyNumberFormat="1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 wrapText="1"/>
    </xf>
    <xf numFmtId="9" fontId="0" fillId="4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175260</xdr:colOff>
      <xdr:row>13</xdr:row>
      <xdr:rowOff>99060</xdr:rowOff>
    </xdr:from>
    <xdr:to>
      <xdr:col>8</xdr:col>
      <xdr:colOff>670560</xdr:colOff>
      <xdr:row>14</xdr:row>
      <xdr:rowOff>106680</xdr:rowOff>
    </xdr:to>
    <xdr:sp macro="" textlink="">
      <xdr:nvSpPr>
        <xdr:cNvPr id="2" name="Flèche droite 1"/>
        <xdr:cNvSpPr/>
      </xdr:nvSpPr>
      <xdr:spPr>
        <a:xfrm>
          <a:off x="7071360" y="3985260"/>
          <a:ext cx="495300" cy="373380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145869</xdr:colOff>
      <xdr:row>6</xdr:row>
      <xdr:rowOff>179614</xdr:rowOff>
    </xdr:from>
    <xdr:to>
      <xdr:col>8</xdr:col>
      <xdr:colOff>641169</xdr:colOff>
      <xdr:row>7</xdr:row>
      <xdr:rowOff>187233</xdr:rowOff>
    </xdr:to>
    <xdr:sp macro="" textlink="">
      <xdr:nvSpPr>
        <xdr:cNvPr id="3" name="Flèche droite 2"/>
        <xdr:cNvSpPr/>
      </xdr:nvSpPr>
      <xdr:spPr>
        <a:xfrm>
          <a:off x="7058298" y="1877785"/>
          <a:ext cx="495300" cy="377734"/>
        </a:xfrm>
        <a:prstGeom prst="righ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zoomScaleNormal="100" workbookViewId="0">
      <selection activeCell="G2" sqref="G2"/>
    </sheetView>
  </sheetViews>
  <sheetFormatPr baseColWidth="10" defaultRowHeight="14.4" x14ac:dyDescent="0.3"/>
  <cols>
    <col min="1" max="1" width="16.33203125" customWidth="1"/>
    <col min="2" max="2" width="10.77734375" customWidth="1"/>
    <col min="7" max="7" width="15.6640625" customWidth="1"/>
    <col min="10" max="10" width="17.109375" customWidth="1"/>
    <col min="14" max="14" width="13" customWidth="1"/>
    <col min="17" max="17" width="4.44140625" customWidth="1"/>
    <col min="20" max="20" width="39.77734375" customWidth="1"/>
  </cols>
  <sheetData>
    <row r="1" spans="1:20" ht="21.6" customHeight="1" x14ac:dyDescent="0.3">
      <c r="A1" s="17" t="s">
        <v>0</v>
      </c>
      <c r="B1" s="58" t="s">
        <v>14</v>
      </c>
      <c r="C1" s="58"/>
      <c r="D1" s="58"/>
      <c r="E1" s="35"/>
      <c r="F1" s="36"/>
      <c r="G1" s="36"/>
      <c r="H1" s="36"/>
    </row>
    <row r="2" spans="1:20" x14ac:dyDescent="0.3">
      <c r="A2" s="1"/>
      <c r="B2" s="1"/>
      <c r="C2" s="1"/>
      <c r="D2" s="1"/>
      <c r="E2" s="1"/>
      <c r="F2" s="1"/>
      <c r="G2" s="1"/>
      <c r="H2" s="1"/>
    </row>
    <row r="3" spans="1:20" ht="25.2" customHeight="1" x14ac:dyDescent="0.3">
      <c r="A3" s="59" t="s">
        <v>18</v>
      </c>
      <c r="B3" s="60"/>
      <c r="C3" s="61"/>
      <c r="D3" s="1"/>
      <c r="E3" s="1"/>
      <c r="F3" s="1"/>
      <c r="G3" s="1"/>
      <c r="H3" s="1"/>
      <c r="R3" s="2"/>
      <c r="S3" s="2"/>
    </row>
    <row r="4" spans="1:20" x14ac:dyDescent="0.3">
      <c r="A4" s="1"/>
      <c r="B4" s="1"/>
      <c r="C4" s="1"/>
      <c r="D4" s="1"/>
      <c r="E4" s="1"/>
      <c r="F4" s="1"/>
      <c r="G4" s="1"/>
      <c r="H4" s="1"/>
      <c r="J4" s="37"/>
      <c r="K4" s="37"/>
      <c r="L4" s="37"/>
      <c r="M4" s="37"/>
      <c r="N4" s="37"/>
      <c r="O4" s="37"/>
      <c r="P4" s="38"/>
      <c r="R4" s="2"/>
      <c r="S4" s="2"/>
    </row>
    <row r="5" spans="1:20" ht="28.8" customHeight="1" x14ac:dyDescent="0.3">
      <c r="A5" s="62" t="s">
        <v>1</v>
      </c>
      <c r="B5" s="62"/>
      <c r="C5" s="62"/>
      <c r="D5" s="62"/>
      <c r="E5" s="62"/>
      <c r="F5" s="62"/>
      <c r="G5" s="62"/>
      <c r="H5" s="62"/>
      <c r="J5" s="30" t="s">
        <v>16</v>
      </c>
      <c r="K5" s="30" t="s">
        <v>3</v>
      </c>
      <c r="L5" s="30" t="s">
        <v>5</v>
      </c>
      <c r="M5" s="30" t="s">
        <v>14</v>
      </c>
      <c r="N5" s="41" t="s">
        <v>4</v>
      </c>
      <c r="O5" s="30" t="s">
        <v>15</v>
      </c>
      <c r="P5" s="5" t="s">
        <v>7</v>
      </c>
      <c r="R5" s="31"/>
      <c r="S5" s="33"/>
    </row>
    <row r="6" spans="1:20" ht="28.8" customHeight="1" x14ac:dyDescent="0.3">
      <c r="A6" s="63" t="s">
        <v>20</v>
      </c>
      <c r="B6" s="64"/>
      <c r="C6" s="48" t="s">
        <v>2</v>
      </c>
      <c r="D6" s="48"/>
      <c r="E6" s="48"/>
      <c r="F6" s="48"/>
      <c r="G6" s="48"/>
      <c r="H6" s="48"/>
      <c r="J6" s="52" t="s">
        <v>9</v>
      </c>
      <c r="K6" s="22">
        <f>IF($A$8="EPTB Charente",0.5,IF($A$8="EPCI",0.5,IF($A$8="Syndicat de bassin versant",0.5,IF($A$8="Autre",0.5,IF($A$8="","")))))</f>
        <v>0.5</v>
      </c>
      <c r="L6" s="22">
        <f>IF($A$8="EPTB Charente",0.06,IF($A$8="EPCI",0,IF($A$8="Syndicat de bassin versant",0,IF($A$8="Autre",0,IF($A$8="","")))))</f>
        <v>0.06</v>
      </c>
      <c r="M6" s="22">
        <f>IF($A$8="EPTB Charente",0.24,IF($A$8="EPCI",0.3,IF($A$8="Syndicat de bassin versant",0.3,IF($A$8="Autre",0.3,IF($A$8="","")))))</f>
        <v>0.24</v>
      </c>
      <c r="N6" s="22">
        <f>IF($A$8="EPTB Charente",0.2,IF($A$8="EPCI",0.2,IF($A$8="Syndicat de bassin versant",0.2,IF($A$8="Autre",0.2,IF($A$8="","")))))</f>
        <v>0.2</v>
      </c>
      <c r="O6" s="22">
        <f>IF($A$8="EPTB Charente",0,IF($A$8="EPCI",0,IF($A$8="Syndicat de bassin versant",0,IF($A$8="Autre",0,IF($A$8="","")))))</f>
        <v>0</v>
      </c>
      <c r="P6" s="54">
        <f>675600*S7</f>
        <v>202680</v>
      </c>
      <c r="R6" s="46" t="s">
        <v>23</v>
      </c>
      <c r="S6" s="47"/>
    </row>
    <row r="7" spans="1:20" ht="28.8" customHeight="1" x14ac:dyDescent="0.3">
      <c r="A7" s="65"/>
      <c r="B7" s="66"/>
      <c r="C7" s="4" t="s">
        <v>3</v>
      </c>
      <c r="D7" s="30" t="s">
        <v>19</v>
      </c>
      <c r="E7" s="4" t="s">
        <v>14</v>
      </c>
      <c r="F7" s="4" t="s">
        <v>4</v>
      </c>
      <c r="G7" s="4" t="s">
        <v>6</v>
      </c>
      <c r="H7" s="5" t="s">
        <v>7</v>
      </c>
      <c r="J7" s="53"/>
      <c r="K7" s="28">
        <f>IF($A$8="","",$P$6*K6)</f>
        <v>101340</v>
      </c>
      <c r="L7" s="28">
        <f>IF($A$8="","",$P$6*L6)</f>
        <v>12160.8</v>
      </c>
      <c r="M7" s="28">
        <f>IF($A$8="","",$P$6*M6)</f>
        <v>48643.199999999997</v>
      </c>
      <c r="N7" s="28">
        <f>IF($A$8="","",$P$6*N6)</f>
        <v>40536</v>
      </c>
      <c r="O7" s="28">
        <f>IF($A$8="","",$P$6*O6)</f>
        <v>0</v>
      </c>
      <c r="P7" s="55"/>
      <c r="R7" s="34">
        <f>IF(S7="","",1291*S7)</f>
        <v>387.3</v>
      </c>
      <c r="S7" s="45">
        <v>0.3</v>
      </c>
      <c r="T7" s="42" t="s">
        <v>26</v>
      </c>
    </row>
    <row r="8" spans="1:20" ht="28.8" customHeight="1" x14ac:dyDescent="0.3">
      <c r="A8" s="56" t="s">
        <v>5</v>
      </c>
      <c r="B8" s="6" t="s">
        <v>21</v>
      </c>
      <c r="C8" s="22">
        <f>IF($A$8="EPTB Charente",0.5,IF($A$8="EPCI",0.5,IF($A$8="Syndicat de bassin versant",0.5,IF($A$8="Autre",0.5,IF($A$8="","")))))</f>
        <v>0.5</v>
      </c>
      <c r="D8" s="22">
        <f>IF($A$8="EPTB Charente",0.06,IF($A$8="EPCI",0,IF($A$8="Syndicat de bassin versant",0,IF($A$8="Autre",0,IF($A$8="","")))))</f>
        <v>0.06</v>
      </c>
      <c r="E8" s="22">
        <f>IF($A$8="EPTB Charente",0.24,IF($A$8="EPCI",0.3,IF($A$8="Syndicat de bassin versant",0.3,IF($A$8="Autre",0.3,IF($A$8="","")))))</f>
        <v>0.24</v>
      </c>
      <c r="F8" s="22">
        <f>IF($A$8="EPTB Charente",0.2,IF($A$8="EPCI",0.2,IF($A$8="Syndicat de bassin versant",0.2,IF($A$8="Autre",0.2,IF($A$8="","")))))</f>
        <v>0.2</v>
      </c>
      <c r="G8" s="22">
        <f>IF($A$8="EPTB Charente",0,IF($A$8="EPCI",0,IF($A$8="Syndicat de bassin versant",0,IF($A$8="Autre",0,IF($A$8="","")))))</f>
        <v>0</v>
      </c>
      <c r="H8" s="13">
        <v>1</v>
      </c>
      <c r="J8" s="52" t="s">
        <v>10</v>
      </c>
      <c r="K8" s="22">
        <f>IF($A$8="EPTB Charente",0.5,IF($A$8="EPCI",0.5,IF($A$8="Syndicat de bassin versant",0.5,IF($A$8="Autre",0.5,IF($A$8="","")))))</f>
        <v>0.5</v>
      </c>
      <c r="L8" s="22">
        <f>IF($A$8="EPTB Charente",0.06,IF($A$8="EPCI",0,IF($A$8="Syndicat de bassin versant",0,IF($A$8="Autre",0,IF($A$8="","")))))</f>
        <v>0.06</v>
      </c>
      <c r="M8" s="22">
        <f>IF($A$8="EPTB Charente",0.24,IF($A$8="EPCI",0.3,IF($A$8="Syndicat de bassin versant",0.3,IF($A$8="Autre",0.3,IF($A$8="","")))))</f>
        <v>0.24</v>
      </c>
      <c r="N8" s="22">
        <f>IF($A$8="EPTB Charente",0.2,IF($A$8="EPCI",0.2,IF($A$8="Syndicat de bassin versant",0.2,IF($A$8="Autre",0.2,IF($A$8="","")))))</f>
        <v>0.2</v>
      </c>
      <c r="O8" s="22">
        <f>IF($A$8="EPTB Charente",0,IF($A$8="EPCI",0,IF($A$8="Syndicat de bassin versant",0,IF($A$8="Autre",0,IF($A$8="","")))))</f>
        <v>0</v>
      </c>
      <c r="P8" s="54">
        <f>165000*S7</f>
        <v>49500</v>
      </c>
      <c r="R8" s="31"/>
      <c r="S8" s="31"/>
    </row>
    <row r="9" spans="1:20" ht="28.8" customHeight="1" x14ac:dyDescent="0.3">
      <c r="A9" s="57"/>
      <c r="B9" s="11" t="s">
        <v>12</v>
      </c>
      <c r="C9" s="3">
        <f>IF($A$8="","",$H$9*C8)</f>
        <v>137260</v>
      </c>
      <c r="D9" s="3">
        <f t="shared" ref="D9:G9" si="0">IF($A$8="","",$H$9*D8)</f>
        <v>16471.2</v>
      </c>
      <c r="E9" s="3">
        <f t="shared" si="0"/>
        <v>65884.800000000003</v>
      </c>
      <c r="F9" s="3">
        <f t="shared" si="0"/>
        <v>54904</v>
      </c>
      <c r="G9" s="3">
        <f t="shared" si="0"/>
        <v>0</v>
      </c>
      <c r="H9" s="24">
        <f>SUM(P6:P10)</f>
        <v>274520</v>
      </c>
      <c r="J9" s="53"/>
      <c r="K9" s="28">
        <f>IF($A$8="","",$P$8*K8)</f>
        <v>24750</v>
      </c>
      <c r="L9" s="28">
        <f>IF($A$8="","",$P$8*L8)</f>
        <v>2970</v>
      </c>
      <c r="M9" s="28">
        <f>IF($A$8="","",$P$8*M8)</f>
        <v>11880</v>
      </c>
      <c r="N9" s="28">
        <f>IF($A$8="","",$P$8*N8)</f>
        <v>9900</v>
      </c>
      <c r="O9" s="28">
        <f>IF($A$8="","",$P$8*O8)</f>
        <v>0</v>
      </c>
      <c r="P9" s="55"/>
      <c r="R9" s="31"/>
      <c r="S9" s="32"/>
    </row>
    <row r="10" spans="1:20" ht="28.8" customHeight="1" x14ac:dyDescent="0.3">
      <c r="A10" s="50" t="s">
        <v>28</v>
      </c>
      <c r="B10" s="51"/>
      <c r="C10" s="51"/>
      <c r="D10" s="51"/>
      <c r="E10" s="51"/>
      <c r="F10" s="51"/>
      <c r="G10" s="51"/>
      <c r="H10" s="51"/>
      <c r="P10" s="44">
        <v>22340</v>
      </c>
      <c r="R10" s="31"/>
      <c r="S10" s="32"/>
    </row>
    <row r="11" spans="1:20" ht="28.8" customHeight="1" x14ac:dyDescent="0.3">
      <c r="A11" s="39"/>
      <c r="B11" s="39"/>
      <c r="C11" s="39"/>
      <c r="D11" s="39"/>
      <c r="E11" s="39"/>
      <c r="F11" s="39"/>
      <c r="G11" s="39"/>
      <c r="H11" s="39"/>
      <c r="J11" s="48" t="s">
        <v>13</v>
      </c>
      <c r="K11" s="48"/>
      <c r="L11" s="4" t="s">
        <v>3</v>
      </c>
      <c r="M11" s="4" t="s">
        <v>14</v>
      </c>
      <c r="N11" s="41" t="s">
        <v>25</v>
      </c>
      <c r="O11" s="4" t="s">
        <v>6</v>
      </c>
      <c r="P11" s="5" t="s">
        <v>7</v>
      </c>
      <c r="R11" s="31"/>
      <c r="S11" s="31"/>
    </row>
    <row r="12" spans="1:20" s="2" customFormat="1" ht="28.8" customHeight="1" x14ac:dyDescent="0.3">
      <c r="A12" s="67" t="s">
        <v>8</v>
      </c>
      <c r="B12" s="67"/>
      <c r="C12" s="67"/>
      <c r="D12" s="67"/>
      <c r="E12" s="67"/>
      <c r="F12" s="67"/>
      <c r="G12" s="67"/>
      <c r="H12" s="67"/>
      <c r="J12" s="68" t="s">
        <v>9</v>
      </c>
      <c r="K12" s="6" t="s">
        <v>21</v>
      </c>
      <c r="L12" s="14" t="str">
        <f>IF($M$12="","","80%")</f>
        <v>80%</v>
      </c>
      <c r="M12" s="29">
        <v>0.1</v>
      </c>
      <c r="N12" s="12">
        <f>IF($M$12="","",M12)</f>
        <v>0.1</v>
      </c>
      <c r="O12" s="12">
        <f>IF($M$12="","",1-L12-M12-N12)</f>
        <v>-5.5511151231257827E-17</v>
      </c>
      <c r="P12" s="49">
        <f>3765000*S15</f>
        <v>564750</v>
      </c>
      <c r="R12" s="31"/>
      <c r="S12" s="31"/>
    </row>
    <row r="13" spans="1:20" ht="28.8" customHeight="1" x14ac:dyDescent="0.3">
      <c r="A13" s="15"/>
      <c r="B13" s="9"/>
      <c r="C13" s="48" t="s">
        <v>2</v>
      </c>
      <c r="D13" s="48"/>
      <c r="E13" s="48"/>
      <c r="F13" s="48"/>
      <c r="G13" s="48"/>
      <c r="H13" s="48"/>
      <c r="J13" s="69"/>
      <c r="K13" s="11" t="s">
        <v>12</v>
      </c>
      <c r="L13" s="3">
        <f>IF($M$12="","",$P$12*L12)</f>
        <v>451800</v>
      </c>
      <c r="M13" s="3">
        <f t="shared" ref="M13:O13" si="1">IF($M$12="","",$P$12*M12)</f>
        <v>56475</v>
      </c>
      <c r="N13" s="3">
        <f t="shared" si="1"/>
        <v>56475</v>
      </c>
      <c r="O13" s="3">
        <f t="shared" si="1"/>
        <v>-3.1349922657852858E-11</v>
      </c>
      <c r="P13" s="49"/>
    </row>
    <row r="14" spans="1:20" ht="28.8" customHeight="1" x14ac:dyDescent="0.3">
      <c r="A14" s="16"/>
      <c r="B14" s="10"/>
      <c r="C14" s="4" t="s">
        <v>3</v>
      </c>
      <c r="D14" s="46" t="s">
        <v>14</v>
      </c>
      <c r="E14" s="47"/>
      <c r="F14" s="4" t="s">
        <v>4</v>
      </c>
      <c r="G14" s="4" t="s">
        <v>6</v>
      </c>
      <c r="H14" s="5" t="s">
        <v>7</v>
      </c>
      <c r="J14" s="68" t="s">
        <v>10</v>
      </c>
      <c r="K14" s="6" t="s">
        <v>21</v>
      </c>
      <c r="L14" s="14" t="str">
        <f>IF($M$14="","","40%")</f>
        <v>40%</v>
      </c>
      <c r="M14" s="29">
        <v>0.3</v>
      </c>
      <c r="N14" s="12">
        <f>IF($M$14="","",M14)</f>
        <v>0.3</v>
      </c>
      <c r="O14" s="12">
        <f>IF($M$14="","",1-L14-M14-N14)</f>
        <v>0</v>
      </c>
      <c r="P14" s="49">
        <f>990000*S15</f>
        <v>148500</v>
      </c>
      <c r="R14" s="48" t="s">
        <v>24</v>
      </c>
      <c r="S14" s="48"/>
    </row>
    <row r="15" spans="1:20" ht="28.8" customHeight="1" x14ac:dyDescent="0.3">
      <c r="A15" s="72" t="s">
        <v>21</v>
      </c>
      <c r="B15" s="73"/>
      <c r="C15" s="22">
        <f>IF(C16="","",C16/H16)</f>
        <v>0.69990300678952477</v>
      </c>
      <c r="D15" s="74">
        <f>IF(D16="","",D16/H16)</f>
        <v>0.15004849660523764</v>
      </c>
      <c r="E15" s="75"/>
      <c r="F15" s="22">
        <f>IF(F16="","",F16/H16)</f>
        <v>0.15004849660523764</v>
      </c>
      <c r="G15" s="22">
        <f>IF(G16="","",G16/H16)</f>
        <v>-4.0543061956486076E-17</v>
      </c>
      <c r="H15" s="13">
        <v>1</v>
      </c>
      <c r="J15" s="69"/>
      <c r="K15" s="11" t="s">
        <v>12</v>
      </c>
      <c r="L15" s="3">
        <f>IF($M$14="","",$P$14*L14)</f>
        <v>59400</v>
      </c>
      <c r="M15" s="3">
        <f t="shared" ref="M15:O15" si="2">IF($M$14="","",$P$14*M14)</f>
        <v>44550</v>
      </c>
      <c r="N15" s="3">
        <f t="shared" si="2"/>
        <v>44550</v>
      </c>
      <c r="O15" s="3">
        <f t="shared" si="2"/>
        <v>0</v>
      </c>
      <c r="P15" s="49"/>
      <c r="R15" s="34">
        <f>IF(S15="","",1305*S7*S15)</f>
        <v>58.724999999999994</v>
      </c>
      <c r="S15" s="40">
        <v>0.15</v>
      </c>
      <c r="T15" s="42" t="s">
        <v>29</v>
      </c>
    </row>
    <row r="16" spans="1:20" ht="28.8" customHeight="1" x14ac:dyDescent="0.3">
      <c r="A16" s="76" t="s">
        <v>12</v>
      </c>
      <c r="B16" s="77"/>
      <c r="C16" s="25">
        <f>IF(L17="","",L13+L15+L17)</f>
        <v>541200</v>
      </c>
      <c r="D16" s="78">
        <f>IF(M17="","",M13+M15+M17)</f>
        <v>116025</v>
      </c>
      <c r="E16" s="79"/>
      <c r="F16" s="25">
        <f>IF(N17="","",N13+N15+N17)</f>
        <v>116025</v>
      </c>
      <c r="G16" s="25">
        <f>IF(O17="","",O13+O15+O17)</f>
        <v>-3.1349922657852858E-11</v>
      </c>
      <c r="H16" s="24">
        <f>SUM(P12:P17)</f>
        <v>773250</v>
      </c>
      <c r="J16" s="68" t="s">
        <v>11</v>
      </c>
      <c r="K16" s="6" t="s">
        <v>21</v>
      </c>
      <c r="L16" s="14" t="str">
        <f>IF($M$16="","","50%")</f>
        <v>50%</v>
      </c>
      <c r="M16" s="29">
        <v>0.25</v>
      </c>
      <c r="N16" s="12">
        <f>IF($M$16="","",M16)</f>
        <v>0.25</v>
      </c>
      <c r="O16" s="12">
        <f>IF($M$16="","",1-L16-M16-N16)</f>
        <v>0</v>
      </c>
      <c r="P16" s="49">
        <v>60000</v>
      </c>
    </row>
    <row r="17" spans="1:20" ht="28.8" customHeight="1" thickBot="1" x14ac:dyDescent="0.35">
      <c r="J17" s="69"/>
      <c r="K17" s="11" t="s">
        <v>12</v>
      </c>
      <c r="L17" s="3">
        <f>IF($M$16="","",$P$16*L16)</f>
        <v>30000</v>
      </c>
      <c r="M17" s="3">
        <f t="shared" ref="M17:O17" si="3">IF($M$16="","",$P$16*M16)</f>
        <v>15000</v>
      </c>
      <c r="N17" s="3">
        <f t="shared" si="3"/>
        <v>15000</v>
      </c>
      <c r="O17" s="3">
        <f t="shared" si="3"/>
        <v>0</v>
      </c>
      <c r="P17" s="49"/>
      <c r="T17" s="43" t="s">
        <v>27</v>
      </c>
    </row>
    <row r="18" spans="1:20" ht="28.8" customHeight="1" thickBot="1" x14ac:dyDescent="0.35">
      <c r="A18" s="80" t="s">
        <v>17</v>
      </c>
      <c r="B18" s="81"/>
      <c r="C18" s="81"/>
      <c r="D18" s="81"/>
      <c r="E18" s="81"/>
      <c r="F18" s="81"/>
      <c r="G18" s="81"/>
      <c r="H18" s="82"/>
    </row>
    <row r="19" spans="1:20" ht="28.8" customHeight="1" x14ac:dyDescent="0.3">
      <c r="A19" s="18"/>
      <c r="B19" s="9"/>
      <c r="C19" s="48" t="s">
        <v>2</v>
      </c>
      <c r="D19" s="83"/>
      <c r="E19" s="83"/>
      <c r="F19" s="48"/>
      <c r="G19" s="48"/>
      <c r="H19" s="84"/>
      <c r="J19" s="86" t="s">
        <v>22</v>
      </c>
      <c r="K19" s="87"/>
      <c r="L19" s="87"/>
      <c r="M19" s="87"/>
      <c r="N19" s="87"/>
      <c r="O19" s="87"/>
      <c r="P19" s="88"/>
    </row>
    <row r="20" spans="1:20" ht="28.8" customHeight="1" x14ac:dyDescent="0.3">
      <c r="A20" s="19"/>
      <c r="B20" s="10"/>
      <c r="C20" s="7" t="s">
        <v>3</v>
      </c>
      <c r="D20" s="4" t="s">
        <v>5</v>
      </c>
      <c r="E20" s="4" t="s">
        <v>14</v>
      </c>
      <c r="F20" s="8" t="s">
        <v>4</v>
      </c>
      <c r="G20" s="4" t="s">
        <v>6</v>
      </c>
      <c r="H20" s="20" t="s">
        <v>7</v>
      </c>
      <c r="J20" s="89"/>
      <c r="K20" s="90"/>
      <c r="L20" s="90"/>
      <c r="M20" s="90"/>
      <c r="N20" s="90"/>
      <c r="O20" s="90"/>
      <c r="P20" s="91"/>
    </row>
    <row r="21" spans="1:20" ht="28.8" customHeight="1" x14ac:dyDescent="0.3">
      <c r="A21" s="85" t="s">
        <v>21</v>
      </c>
      <c r="B21" s="73"/>
      <c r="C21" s="27">
        <f>IF(C22="","",C22/$H$22)</f>
        <v>0.64752760624946315</v>
      </c>
      <c r="D21" s="27">
        <f t="shared" ref="D21:G21" si="4">IF(D22="","",D22/$H$22)</f>
        <v>1.5720243946667687E-2</v>
      </c>
      <c r="E21" s="27">
        <f t="shared" si="4"/>
        <v>0.17361615621749046</v>
      </c>
      <c r="F21" s="27">
        <f t="shared" si="4"/>
        <v>0.1631359935863787</v>
      </c>
      <c r="G21" s="27">
        <f t="shared" si="4"/>
        <v>-2.9920614884805688E-17</v>
      </c>
      <c r="H21" s="23">
        <v>1</v>
      </c>
      <c r="J21" s="89"/>
      <c r="K21" s="90"/>
      <c r="L21" s="90"/>
      <c r="M21" s="90"/>
      <c r="N21" s="90"/>
      <c r="O21" s="90"/>
      <c r="P21" s="91"/>
    </row>
    <row r="22" spans="1:20" ht="28.8" customHeight="1" thickBot="1" x14ac:dyDescent="0.35">
      <c r="A22" s="70" t="s">
        <v>12</v>
      </c>
      <c r="B22" s="71"/>
      <c r="C22" s="26">
        <f>IF(C16="","",C9+C16)</f>
        <v>678460</v>
      </c>
      <c r="D22" s="26">
        <f>IF(D16="","",D9)</f>
        <v>16471.2</v>
      </c>
      <c r="E22" s="26">
        <f>IF(D16="","",E9+D16)</f>
        <v>181909.8</v>
      </c>
      <c r="F22" s="26">
        <f t="shared" ref="F22:G22" si="5">IF(F16="","",F9+F16)</f>
        <v>170929</v>
      </c>
      <c r="G22" s="26">
        <f t="shared" si="5"/>
        <v>-3.1349922657852858E-11</v>
      </c>
      <c r="H22" s="21">
        <f>H9+H16</f>
        <v>1047770</v>
      </c>
      <c r="J22" s="89"/>
      <c r="K22" s="90"/>
      <c r="L22" s="90"/>
      <c r="M22" s="90"/>
      <c r="N22" s="90"/>
      <c r="O22" s="90"/>
      <c r="P22" s="91"/>
    </row>
    <row r="23" spans="1:20" ht="37.200000000000003" customHeight="1" thickBot="1" x14ac:dyDescent="0.35">
      <c r="J23" s="92"/>
      <c r="K23" s="93"/>
      <c r="L23" s="93"/>
      <c r="M23" s="93"/>
      <c r="N23" s="93"/>
      <c r="O23" s="93"/>
      <c r="P23" s="94"/>
    </row>
  </sheetData>
  <sheetProtection sheet="1" objects="1" scenarios="1"/>
  <mergeCells count="32">
    <mergeCell ref="J11:K11"/>
    <mergeCell ref="A12:H12"/>
    <mergeCell ref="J12:J13"/>
    <mergeCell ref="C13:H13"/>
    <mergeCell ref="A22:B22"/>
    <mergeCell ref="D14:E14"/>
    <mergeCell ref="J14:J15"/>
    <mergeCell ref="A15:B15"/>
    <mergeCell ref="D15:E15"/>
    <mergeCell ref="A16:B16"/>
    <mergeCell ref="D16:E16"/>
    <mergeCell ref="J16:J17"/>
    <mergeCell ref="A18:H18"/>
    <mergeCell ref="C19:H19"/>
    <mergeCell ref="A21:B21"/>
    <mergeCell ref="J19:P23"/>
    <mergeCell ref="B1:D1"/>
    <mergeCell ref="A3:C3"/>
    <mergeCell ref="A5:H5"/>
    <mergeCell ref="A6:B7"/>
    <mergeCell ref="C6:H6"/>
    <mergeCell ref="A10:H10"/>
    <mergeCell ref="J6:J7"/>
    <mergeCell ref="J8:J9"/>
    <mergeCell ref="P6:P7"/>
    <mergeCell ref="P8:P9"/>
    <mergeCell ref="A8:A9"/>
    <mergeCell ref="R6:S6"/>
    <mergeCell ref="R14:S14"/>
    <mergeCell ref="P14:P15"/>
    <mergeCell ref="P16:P17"/>
    <mergeCell ref="P12:P13"/>
  </mergeCells>
  <conditionalFormatting sqref="F1:H1">
    <cfRule type="containsText" dxfId="3" priority="1" operator="containsText" text="Non validé">
      <formula>NOT(ISERROR(SEARCH("Non validé",F1)))</formula>
    </cfRule>
    <cfRule type="containsText" dxfId="2" priority="2" operator="containsText" text="En attente de validation">
      <formula>NOT(ISERROR(SEARCH("En attente de validation",F1)))</formula>
    </cfRule>
    <cfRule type="containsText" dxfId="1" priority="3" operator="containsText" text="Validation d'intention">
      <formula>NOT(ISERROR(SEARCH("Validation d'intention",F1)))</formula>
    </cfRule>
    <cfRule type="containsText" dxfId="0" priority="4" operator="containsText" text="Validation officielle">
      <formula>NOT(ISERROR(SEARCH("Validation officielle",F1)))</formula>
    </cfRule>
  </conditionalFormatting>
  <dataValidations count="7">
    <dataValidation type="list" allowBlank="1" showInputMessage="1" showErrorMessage="1" sqref="A8">
      <formula1>"EPTB Charente, EPCI, Syndicat de bassin versant, Autre"</formula1>
    </dataValidation>
    <dataValidation type="list" allowBlank="1" showInputMessage="1" showErrorMessage="1" sqref="M12">
      <formula1>"0%,5%,10%"</formula1>
    </dataValidation>
    <dataValidation type="list" allowBlank="1" showInputMessage="1" showErrorMessage="1" sqref="F1:H1">
      <formula1>"Validation officielle,Validation d'intention,En attente de validation,Non validé"</formula1>
    </dataValidation>
    <dataValidation type="list" allowBlank="1" showInputMessage="1" showErrorMessage="1" sqref="M14">
      <formula1>"0%,5%,10%,20%,30%"</formula1>
    </dataValidation>
    <dataValidation type="list" allowBlank="1" showInputMessage="1" showErrorMessage="1" sqref="M16">
      <formula1>"0%,5%,10%,20%,25%"</formula1>
    </dataValidation>
    <dataValidation type="list" allowBlank="1" showInputMessage="1" showErrorMessage="1" sqref="S7">
      <formula1>"10%,20%,30%,40%,50%"</formula1>
    </dataValidation>
    <dataValidation type="list" allowBlank="1" showInputMessage="1" showErrorMessage="1" sqref="S15">
      <formula1>"5%,10%,15%,20%,25%,30%"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CA_Saintes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PELUD</dc:creator>
  <cp:lastModifiedBy>Alexis PELUD</cp:lastModifiedBy>
  <dcterms:created xsi:type="dcterms:W3CDTF">2023-05-12T13:51:30Z</dcterms:created>
  <dcterms:modified xsi:type="dcterms:W3CDTF">2023-06-15T12:33:50Z</dcterms:modified>
</cp:coreProperties>
</file>